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/>
  <mc:AlternateContent xmlns:mc="http://schemas.openxmlformats.org/markup-compatibility/2006">
    <mc:Choice Requires="x15">
      <x15ac:absPath xmlns:x15ac="http://schemas.microsoft.com/office/spreadsheetml/2010/11/ac" url="C:\Users\User\Documents\Comm\Website edits\"/>
    </mc:Choice>
  </mc:AlternateContent>
  <xr:revisionPtr revIDLastSave="0" documentId="13_ncr:1_{312FF3E1-0299-4D4E-8A14-82CBA63FE54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English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5" i="2" l="1"/>
  <c r="F55" i="2"/>
  <c r="C55" i="2" s="1"/>
  <c r="E55" i="2" s="1"/>
  <c r="F54" i="2"/>
  <c r="C54" i="2" s="1"/>
  <c r="E54" i="2" s="1"/>
  <c r="F46" i="2"/>
  <c r="F45" i="2"/>
  <c r="C44" i="2"/>
  <c r="E44" i="2" s="1"/>
  <c r="F43" i="2"/>
  <c r="C43" i="2" s="1"/>
  <c r="E43" i="2" s="1"/>
  <c r="G35" i="2"/>
  <c r="G36" i="2" s="1"/>
  <c r="G37" i="2" s="1"/>
  <c r="G38" i="2" s="1"/>
  <c r="F28" i="2"/>
  <c r="F29" i="2" s="1"/>
  <c r="F30" i="2" s="1"/>
  <c r="F20" i="2"/>
  <c r="F21" i="2" s="1"/>
  <c r="D16" i="2"/>
  <c r="F9" i="2"/>
  <c r="F10" i="2" s="1"/>
  <c r="F11" i="2" s="1"/>
  <c r="F12" i="2" s="1"/>
  <c r="D5" i="2"/>
  <c r="C5" i="2" s="1"/>
  <c r="C37" i="2" l="1"/>
  <c r="E37" i="2" s="1"/>
  <c r="C34" i="2"/>
  <c r="E34" i="2" s="1"/>
  <c r="C11" i="2"/>
  <c r="E11" i="2" s="1"/>
  <c r="C8" i="2"/>
  <c r="C16" i="2"/>
  <c r="D68" i="2"/>
  <c r="D69" i="2" s="1"/>
  <c r="D71" i="2" s="1"/>
  <c r="C52" i="2"/>
  <c r="C45" i="2"/>
  <c r="C36" i="2"/>
  <c r="E36" i="2" s="1"/>
  <c r="C10" i="2"/>
  <c r="E10" i="2" s="1"/>
  <c r="C27" i="2"/>
  <c r="C38" i="2"/>
  <c r="E38" i="2" s="1"/>
  <c r="C12" i="2"/>
  <c r="E12" i="2" s="1"/>
  <c r="C9" i="2"/>
  <c r="E9" i="2" s="1"/>
  <c r="C35" i="2"/>
  <c r="E35" i="2" s="1"/>
  <c r="E16" i="2"/>
  <c r="F56" i="2"/>
  <c r="D72" i="2" l="1"/>
  <c r="D73" i="2" s="1"/>
  <c r="F57" i="2"/>
  <c r="C56" i="2"/>
  <c r="E56" i="2" s="1"/>
  <c r="E39" i="2"/>
  <c r="C42" i="2"/>
  <c r="E42" i="2" s="1"/>
  <c r="C20" i="2"/>
  <c r="E20" i="2" s="1"/>
  <c r="C19" i="2"/>
  <c r="E19" i="2" s="1"/>
  <c r="C21" i="2"/>
  <c r="E21" i="2" s="1"/>
  <c r="E8" i="2"/>
  <c r="E13" i="2" s="1"/>
  <c r="C28" i="2"/>
  <c r="E27" i="2"/>
  <c r="E45" i="2"/>
  <c r="C46" i="2"/>
  <c r="E52" i="2"/>
  <c r="C53" i="2"/>
  <c r="E53" i="2" s="1"/>
  <c r="E22" i="2" l="1"/>
  <c r="E24" i="2" s="1"/>
  <c r="E47" i="2"/>
  <c r="C57" i="2"/>
  <c r="E57" i="2" s="1"/>
  <c r="F58" i="2"/>
  <c r="H52" i="2"/>
  <c r="E46" i="2"/>
  <c r="C29" i="2"/>
  <c r="E28" i="2"/>
  <c r="C30" i="2" l="1"/>
  <c r="E30" i="2" s="1"/>
  <c r="E31" i="2" s="1"/>
  <c r="E49" i="2" s="1"/>
  <c r="D75" i="2" s="1"/>
  <c r="E29" i="2"/>
  <c r="C58" i="2"/>
  <c r="E58" i="2" s="1"/>
  <c r="F59" i="2"/>
  <c r="F60" i="2" l="1"/>
  <c r="C60" i="2" s="1"/>
  <c r="E60" i="2" s="1"/>
  <c r="E61" i="2" s="1"/>
  <c r="C59" i="2"/>
  <c r="E59" i="2" s="1"/>
  <c r="D76" i="2" l="1"/>
  <c r="D77" i="2" s="1"/>
  <c r="D79" i="2" s="1"/>
  <c r="E63" i="2"/>
  <c r="E64" i="2" s="1"/>
  <c r="G64" i="2" s="1"/>
  <c r="G66" i="2" s="1"/>
  <c r="D81" i="2" l="1"/>
  <c r="D83" i="2" s="1"/>
</calcChain>
</file>

<file path=xl/sharedStrings.xml><?xml version="1.0" encoding="utf-8"?>
<sst xmlns="http://schemas.openxmlformats.org/spreadsheetml/2006/main" count="136" uniqueCount="104">
  <si>
    <t>Id</t>
  </si>
  <si>
    <t>Kiln type</t>
  </si>
  <si>
    <t>Production capacity</t>
  </si>
  <si>
    <t>In-Situ</t>
  </si>
  <si>
    <t>Artisanal S-size</t>
  </si>
  <si>
    <t>Artisanal M-size</t>
  </si>
  <si>
    <t>Artisanal L-size</t>
  </si>
  <si>
    <t>Inputs</t>
  </si>
  <si>
    <t>Hoffman-2 chambers</t>
  </si>
  <si>
    <t>Hoffman-4 chambers</t>
  </si>
  <si>
    <t>ZZK S-size</t>
  </si>
  <si>
    <t xml:space="preserve"> </t>
  </si>
  <si>
    <t>ZZK M-size</t>
  </si>
  <si>
    <t>ZZK L-size</t>
  </si>
  <si>
    <t>Mobile kiln</t>
  </si>
  <si>
    <t>Tunnel kiln</t>
  </si>
  <si>
    <t>20L pour 1m3</t>
  </si>
  <si>
    <t>Kaolin</t>
  </si>
  <si>
    <t>Transport</t>
  </si>
  <si>
    <t>Total-Kaolin</t>
  </si>
  <si>
    <t>Combustible</t>
  </si>
  <si>
    <t>Cout total combustible</t>
  </si>
  <si>
    <t>Output / pers.</t>
  </si>
  <si>
    <t>$1 per 100 bricks</t>
  </si>
  <si>
    <t>Communication</t>
  </si>
  <si>
    <t>* Fill-in number in yellow box</t>
  </si>
  <si>
    <t>Type of brickyard</t>
  </si>
  <si>
    <t xml:space="preserve">Quantity of bricks per production cycle </t>
  </si>
  <si>
    <t>Clay</t>
  </si>
  <si>
    <t>Quantity (in m3)</t>
  </si>
  <si>
    <t>Unit price</t>
  </si>
  <si>
    <t>Total cost</t>
  </si>
  <si>
    <t>Purchase</t>
  </si>
  <si>
    <t>Excavation (Fr/m3)</t>
  </si>
  <si>
    <t>Loading &amp; unloading</t>
  </si>
  <si>
    <t>S/Total-Raw material</t>
  </si>
  <si>
    <t>Other costs (drying, etc...)</t>
  </si>
  <si>
    <t>Number (Man-day)</t>
  </si>
  <si>
    <t>Brick moulding</t>
  </si>
  <si>
    <t>Drying &amp; transport</t>
  </si>
  <si>
    <t>Loading into the kiln</t>
  </si>
  <si>
    <t>Firing bricks</t>
  </si>
  <si>
    <t>Unloading and storage</t>
  </si>
  <si>
    <t>Other direct costs</t>
  </si>
  <si>
    <t>Quantity</t>
  </si>
  <si>
    <t xml:space="preserve">Electricity/ diesel </t>
  </si>
  <si>
    <t>local taxes</t>
  </si>
  <si>
    <t>Other charges</t>
  </si>
  <si>
    <t>S/Total-other variables costs</t>
  </si>
  <si>
    <t>Total- variables or direct costs</t>
  </si>
  <si>
    <t>Expenses</t>
  </si>
  <si>
    <t>Salary</t>
  </si>
  <si>
    <t>Social contribution to workers</t>
  </si>
  <si>
    <t>Utilities</t>
  </si>
  <si>
    <t>Insurance</t>
  </si>
  <si>
    <t>Loan repayment</t>
  </si>
  <si>
    <t>Total-Expenses (indirect costs)</t>
  </si>
  <si>
    <t>Total- Cost price</t>
  </si>
  <si>
    <t>Unit cost price per brick</t>
  </si>
  <si>
    <t>Profitability calculation</t>
  </si>
  <si>
    <t>%, No, unit</t>
  </si>
  <si>
    <t>Number</t>
  </si>
  <si>
    <t>No. bricks produced</t>
  </si>
  <si>
    <t>Quantity sold</t>
  </si>
  <si>
    <t>Turnover</t>
  </si>
  <si>
    <t>Less-sales commissions</t>
  </si>
  <si>
    <t>Net revenues</t>
  </si>
  <si>
    <t>Direct costs</t>
  </si>
  <si>
    <t>Indirect costs</t>
  </si>
  <si>
    <t>Total costs</t>
  </si>
  <si>
    <t>Gross profit</t>
  </si>
  <si>
    <t>Taxes</t>
  </si>
  <si>
    <t>Net profit (after tax)</t>
  </si>
  <si>
    <t>Water</t>
  </si>
  <si>
    <t>Number/quantity</t>
  </si>
  <si>
    <t>Unit Price</t>
  </si>
  <si>
    <t>Total Cost</t>
  </si>
  <si>
    <t>S/Total-labor</t>
  </si>
  <si>
    <t>Direct labor (laborers)</t>
  </si>
  <si>
    <t>1m3=550 green bricks</t>
  </si>
  <si>
    <t>1m3=551 green bricks</t>
  </si>
  <si>
    <t>1m3=552 green bricks</t>
  </si>
  <si>
    <t>1m3=553 green bricks</t>
  </si>
  <si>
    <t>1m3=554 green bricks</t>
  </si>
  <si>
    <t>20% Clay Quantity</t>
  </si>
  <si>
    <t>Hypothesis (quantity)</t>
  </si>
  <si>
    <t>No. months</t>
  </si>
  <si>
    <t>No. cycles/months</t>
  </si>
  <si>
    <t>1T pour 7.000 bricks</t>
  </si>
  <si>
    <t>No. work days / cycles</t>
  </si>
  <si>
    <t>Once a month</t>
  </si>
  <si>
    <t>1 workers pour 5.000 bricks</t>
  </si>
  <si>
    <t>Other costs(indirect)</t>
  </si>
  <si>
    <t>Profitability calculation tool in the brick factory</t>
  </si>
  <si>
    <t>Total cost (clay)- in RWF</t>
  </si>
  <si>
    <t>Consumption-water</t>
  </si>
  <si>
    <t>Quantity (in Tonnes)</t>
  </si>
  <si>
    <t>Consumptions</t>
  </si>
  <si>
    <t>Storage &amp; Preparation of clay</t>
  </si>
  <si>
    <t>Loading &amp; Unloading</t>
  </si>
  <si>
    <t>1kWh pour 1m3 of clay</t>
  </si>
  <si>
    <t>Quantity (in liters)</t>
  </si>
  <si>
    <t xml:space="preserve">Maintenance &amp; repairs -machines </t>
  </si>
  <si>
    <t xml:space="preserve">Asset depreciation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</si>
</sst>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_-* #,##0.00\ [$€]_-;\-* #,##0.00\ [$€]_-;_-* &quot;-&quot;??\ [$€]_-;_-@_-"/>
    <numFmt numFmtId="165" formatCode="_(* #,##0_);_(* \(#,##0\);_(* &quot;-&quot;??_);_(@_)"/>
    <numFmt numFmtId="166" formatCode="_(* #,##0.0_);_(* \(#,##0.0\);_(* &quot;-&quot;??_);_(@_)"/>
    <numFmt numFmtId="167" formatCode="_(* #,##0.00_);_(* \(#,##0.00\);_(* &quot;-&quot;??.00_);_(@_)"/>
    <numFmt numFmtId="168" formatCode="_(* #,##0.00_);_(* \(#,##0.00\);_(* &quot;-&quot;??.0_);_(@_)"/>
  </numFmts>
  <fonts count="26">
    <font>
      <sz val="11"/>
      <color theme="1"/>
      <name val="Calibri"/>
      <charset val="134"/>
      <scheme val="minor"/>
    </font>
    <font>
      <sz val="11"/>
      <color theme="1"/>
      <name val="Arial"/>
      <charset val="134"/>
    </font>
    <font>
      <sz val="11"/>
      <name val="Arial"/>
      <charset val="134"/>
    </font>
    <font>
      <b/>
      <sz val="11"/>
      <color theme="1"/>
      <name val="Arial"/>
      <charset val="134"/>
    </font>
    <font>
      <sz val="9"/>
      <color theme="1"/>
      <name val="Calibri"/>
      <charset val="134"/>
      <scheme val="minor"/>
    </font>
    <font>
      <sz val="9"/>
      <color theme="1"/>
      <name val="Arial"/>
      <charset val="134"/>
    </font>
    <font>
      <b/>
      <sz val="16"/>
      <color theme="1"/>
      <name val="Arial"/>
      <charset val="134"/>
    </font>
    <font>
      <b/>
      <i/>
      <sz val="11"/>
      <name val="Arial"/>
      <charset val="134"/>
    </font>
    <font>
      <i/>
      <sz val="11"/>
      <color theme="1"/>
      <name val="Arial"/>
      <charset val="134"/>
    </font>
    <font>
      <i/>
      <sz val="9"/>
      <name val="Arial"/>
      <charset val="134"/>
    </font>
    <font>
      <i/>
      <sz val="11"/>
      <name val="Arial"/>
      <charset val="134"/>
    </font>
    <font>
      <i/>
      <sz val="8"/>
      <color theme="1"/>
      <name val="Arial"/>
      <charset val="134"/>
    </font>
    <font>
      <i/>
      <sz val="10"/>
      <name val="Arial"/>
      <charset val="134"/>
    </font>
    <font>
      <b/>
      <sz val="11"/>
      <color rgb="FF0000FF"/>
      <name val="Arial"/>
      <charset val="134"/>
    </font>
    <font>
      <b/>
      <sz val="11"/>
      <name val="Arial"/>
      <charset val="134"/>
    </font>
    <font>
      <b/>
      <sz val="9"/>
      <color theme="1"/>
      <name val="Calibri"/>
      <charset val="134"/>
      <scheme val="minor"/>
    </font>
    <font>
      <b/>
      <i/>
      <sz val="9"/>
      <color theme="1"/>
      <name val="Arial"/>
      <charset val="134"/>
    </font>
    <font>
      <i/>
      <sz val="9"/>
      <color theme="1"/>
      <name val="Arial"/>
      <charset val="134"/>
    </font>
    <font>
      <b/>
      <i/>
      <sz val="11"/>
      <color theme="1"/>
      <name val="Arial"/>
      <charset val="134"/>
    </font>
    <font>
      <b/>
      <sz val="9"/>
      <color theme="1"/>
      <name val="Arial"/>
      <charset val="134"/>
    </font>
    <font>
      <i/>
      <sz val="11"/>
      <color rgb="FF0000FF"/>
      <name val="Arial"/>
      <charset val="134"/>
    </font>
    <font>
      <sz val="9"/>
      <name val="Arial"/>
      <charset val="134"/>
    </font>
    <font>
      <b/>
      <i/>
      <sz val="10"/>
      <name val="Arial"/>
      <charset val="134"/>
    </font>
    <font>
      <b/>
      <sz val="11"/>
      <color theme="1"/>
      <name val="Candara"/>
      <charset val="134"/>
    </font>
    <font>
      <sz val="10"/>
      <name val="Arial"/>
      <charset val="134"/>
    </font>
    <font>
      <sz val="11"/>
      <color theme="1"/>
      <name val="Calibri"/>
      <charset val="134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145481734672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4">
    <xf numFmtId="0" fontId="0" fillId="0" borderId="0"/>
    <xf numFmtId="43" fontId="25" fillId="0" borderId="0" applyFont="0" applyFill="0" applyBorder="0" applyAlignment="0" applyProtection="0"/>
    <xf numFmtId="164" fontId="24" fillId="0" borderId="0" applyFont="0" applyFill="0" applyBorder="0" applyAlignment="0" applyProtection="0"/>
    <xf numFmtId="9" fontId="25" fillId="0" borderId="0" applyFont="0" applyFill="0" applyBorder="0" applyAlignment="0" applyProtection="0"/>
  </cellStyleXfs>
  <cellXfs count="13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165" fontId="4" fillId="0" borderId="0" xfId="1" applyNumberFormat="1" applyFont="1"/>
    <xf numFmtId="0" fontId="5" fillId="0" borderId="0" xfId="0" applyFont="1"/>
    <xf numFmtId="165" fontId="5" fillId="0" borderId="0" xfId="1" applyNumberFormat="1" applyFont="1"/>
    <xf numFmtId="0" fontId="3" fillId="2" borderId="0" xfId="0" applyFont="1" applyFill="1"/>
    <xf numFmtId="0" fontId="1" fillId="2" borderId="0" xfId="0" applyFont="1" applyFill="1"/>
    <xf numFmtId="165" fontId="5" fillId="0" borderId="0" xfId="1" applyNumberFormat="1" applyFont="1" applyFill="1"/>
    <xf numFmtId="0" fontId="5" fillId="2" borderId="0" xfId="0" applyFont="1" applyFill="1" applyAlignment="1">
      <alignment wrapText="1"/>
    </xf>
    <xf numFmtId="0" fontId="7" fillId="0" borderId="0" xfId="0" applyFont="1" applyAlignment="1">
      <alignment horizontal="left" wrapText="1"/>
    </xf>
    <xf numFmtId="165" fontId="3" fillId="0" borderId="0" xfId="1" applyNumberFormat="1" applyFont="1" applyFill="1" applyBorder="1" applyAlignment="1">
      <alignment vertical="center" wrapText="1"/>
    </xf>
    <xf numFmtId="0" fontId="1" fillId="0" borderId="1" xfId="0" applyFont="1" applyBorder="1"/>
    <xf numFmtId="165" fontId="9" fillId="3" borderId="0" xfId="1" applyNumberFormat="1" applyFont="1" applyFill="1" applyBorder="1"/>
    <xf numFmtId="165" fontId="1" fillId="0" borderId="0" xfId="0" applyNumberFormat="1" applyFont="1"/>
    <xf numFmtId="0" fontId="13" fillId="0" borderId="2" xfId="0" applyFont="1" applyBorder="1"/>
    <xf numFmtId="0" fontId="14" fillId="0" borderId="1" xfId="0" applyFont="1" applyBorder="1"/>
    <xf numFmtId="0" fontId="14" fillId="0" borderId="3" xfId="0" applyFont="1" applyBorder="1"/>
    <xf numFmtId="0" fontId="7" fillId="0" borderId="1" xfId="0" applyFont="1" applyBorder="1"/>
    <xf numFmtId="165" fontId="4" fillId="5" borderId="0" xfId="1" applyNumberFormat="1" applyFont="1" applyFill="1"/>
    <xf numFmtId="165" fontId="5" fillId="0" borderId="0" xfId="0" applyNumberFormat="1" applyFont="1"/>
    <xf numFmtId="165" fontId="16" fillId="0" borderId="0" xfId="0" applyNumberFormat="1" applyFont="1"/>
    <xf numFmtId="0" fontId="14" fillId="0" borderId="0" xfId="0" applyFont="1"/>
    <xf numFmtId="165" fontId="14" fillId="0" borderId="0" xfId="1" applyNumberFormat="1" applyFont="1" applyFill="1" applyBorder="1"/>
    <xf numFmtId="165" fontId="14" fillId="0" borderId="0" xfId="1" applyNumberFormat="1" applyFont="1" applyFill="1" applyBorder="1" applyAlignment="1">
      <alignment vertical="center" wrapText="1"/>
    </xf>
    <xf numFmtId="0" fontId="13" fillId="0" borderId="4" xfId="0" applyFont="1" applyBorder="1"/>
    <xf numFmtId="165" fontId="10" fillId="0" borderId="1" xfId="1" applyNumberFormat="1" applyFont="1" applyFill="1" applyBorder="1"/>
    <xf numFmtId="43" fontId="2" fillId="6" borderId="1" xfId="1" applyFont="1" applyFill="1" applyBorder="1" applyAlignment="1">
      <alignment vertical="center" wrapText="1"/>
    </xf>
    <xf numFmtId="165" fontId="3" fillId="7" borderId="1" xfId="0" applyNumberFormat="1" applyFont="1" applyFill="1" applyBorder="1"/>
    <xf numFmtId="165" fontId="2" fillId="0" borderId="0" xfId="0" applyNumberFormat="1" applyFont="1"/>
    <xf numFmtId="0" fontId="13" fillId="0" borderId="5" xfId="0" applyFont="1" applyBorder="1"/>
    <xf numFmtId="0" fontId="14" fillId="0" borderId="6" xfId="0" applyFont="1" applyBorder="1"/>
    <xf numFmtId="0" fontId="7" fillId="0" borderId="5" xfId="0" applyFont="1" applyBorder="1"/>
    <xf numFmtId="165" fontId="17" fillId="0" borderId="0" xfId="0" applyNumberFormat="1" applyFont="1"/>
    <xf numFmtId="0" fontId="10" fillId="0" borderId="0" xfId="0" applyFont="1"/>
    <xf numFmtId="165" fontId="8" fillId="0" borderId="0" xfId="1" applyNumberFormat="1" applyFont="1" applyFill="1" applyBorder="1"/>
    <xf numFmtId="165" fontId="2" fillId="0" borderId="0" xfId="1" applyNumberFormat="1" applyFont="1" applyFill="1" applyBorder="1" applyAlignment="1">
      <alignment vertical="center" wrapText="1"/>
    </xf>
    <xf numFmtId="0" fontId="18" fillId="0" borderId="4" xfId="0" applyFont="1" applyBorder="1"/>
    <xf numFmtId="165" fontId="18" fillId="0" borderId="2" xfId="1" applyNumberFormat="1" applyFont="1" applyFill="1" applyBorder="1"/>
    <xf numFmtId="165" fontId="14" fillId="8" borderId="1" xfId="1" applyNumberFormat="1" applyFont="1" applyFill="1" applyBorder="1" applyAlignment="1">
      <alignment vertical="center" wrapText="1"/>
    </xf>
    <xf numFmtId="0" fontId="14" fillId="0" borderId="5" xfId="0" applyFont="1" applyBorder="1"/>
    <xf numFmtId="165" fontId="19" fillId="5" borderId="0" xfId="1" applyNumberFormat="1" applyFont="1" applyFill="1"/>
    <xf numFmtId="165" fontId="3" fillId="0" borderId="0" xfId="1" applyNumberFormat="1" applyFont="1" applyFill="1" applyBorder="1"/>
    <xf numFmtId="165" fontId="7" fillId="0" borderId="2" xfId="1" applyNumberFormat="1" applyFont="1" applyFill="1" applyBorder="1" applyAlignment="1">
      <alignment vertical="center" wrapText="1"/>
    </xf>
    <xf numFmtId="165" fontId="3" fillId="8" borderId="1" xfId="0" applyNumberFormat="1" applyFont="1" applyFill="1" applyBorder="1"/>
    <xf numFmtId="0" fontId="18" fillId="0" borderId="0" xfId="0" applyFont="1"/>
    <xf numFmtId="0" fontId="7" fillId="0" borderId="0" xfId="0" applyFont="1"/>
    <xf numFmtId="165" fontId="18" fillId="0" borderId="0" xfId="1" applyNumberFormat="1" applyFont="1" applyFill="1" applyBorder="1"/>
    <xf numFmtId="165" fontId="7" fillId="0" borderId="0" xfId="1" applyNumberFormat="1" applyFont="1" applyFill="1" applyBorder="1" applyAlignment="1">
      <alignment vertical="center" wrapText="1"/>
    </xf>
    <xf numFmtId="0" fontId="18" fillId="0" borderId="1" xfId="0" applyFont="1" applyBorder="1"/>
    <xf numFmtId="0" fontId="3" fillId="0" borderId="1" xfId="0" applyFont="1" applyBorder="1"/>
    <xf numFmtId="165" fontId="18" fillId="8" borderId="1" xfId="0" applyNumberFormat="1" applyFont="1" applyFill="1" applyBorder="1"/>
    <xf numFmtId="43" fontId="5" fillId="0" borderId="0" xfId="1" applyFont="1"/>
    <xf numFmtId="43" fontId="14" fillId="0" borderId="0" xfId="0" applyNumberFormat="1" applyFont="1" applyAlignment="1">
      <alignment vertical="center" wrapText="1"/>
    </xf>
    <xf numFmtId="0" fontId="14" fillId="0" borderId="4" xfId="0" applyFont="1" applyBorder="1" applyAlignment="1">
      <alignment vertical="center" wrapText="1"/>
    </xf>
    <xf numFmtId="0" fontId="14" fillId="0" borderId="0" xfId="0" applyFont="1" applyAlignment="1">
      <alignment vertical="center" wrapText="1"/>
    </xf>
    <xf numFmtId="166" fontId="10" fillId="0" borderId="0" xfId="0" applyNumberFormat="1" applyFont="1" applyAlignment="1">
      <alignment vertical="center" wrapText="1"/>
    </xf>
    <xf numFmtId="165" fontId="19" fillId="0" borderId="5" xfId="1" applyNumberFormat="1" applyFont="1" applyBorder="1"/>
    <xf numFmtId="165" fontId="21" fillId="0" borderId="0" xfId="0" applyNumberFormat="1" applyFont="1"/>
    <xf numFmtId="165" fontId="19" fillId="0" borderId="0" xfId="0" applyNumberFormat="1" applyFont="1"/>
    <xf numFmtId="0" fontId="6" fillId="0" borderId="0" xfId="0" applyFont="1"/>
    <xf numFmtId="165" fontId="2" fillId="0" borderId="0" xfId="0" applyNumberFormat="1" applyFont="1" applyAlignment="1">
      <alignment vertical="center" wrapText="1"/>
    </xf>
    <xf numFmtId="0" fontId="19" fillId="0" borderId="1" xfId="0" applyFont="1" applyBorder="1"/>
    <xf numFmtId="165" fontId="5" fillId="0" borderId="1" xfId="1" applyNumberFormat="1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/>
    </xf>
    <xf numFmtId="165" fontId="5" fillId="0" borderId="1" xfId="0" applyNumberFormat="1" applyFont="1" applyBorder="1" applyAlignment="1">
      <alignment horizontal="left"/>
    </xf>
    <xf numFmtId="165" fontId="5" fillId="0" borderId="1" xfId="1" applyNumberFormat="1" applyFont="1" applyBorder="1"/>
    <xf numFmtId="165" fontId="8" fillId="0" borderId="0" xfId="1" applyNumberFormat="1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/>
    </xf>
    <xf numFmtId="165" fontId="2" fillId="0" borderId="1" xfId="0" applyNumberFormat="1" applyFont="1" applyBorder="1"/>
    <xf numFmtId="165" fontId="2" fillId="6" borderId="1" xfId="1" applyNumberFormat="1" applyFont="1" applyFill="1" applyBorder="1"/>
    <xf numFmtId="165" fontId="1" fillId="0" borderId="1" xfId="1" applyNumberFormat="1" applyFont="1" applyFill="1" applyBorder="1"/>
    <xf numFmtId="0" fontId="2" fillId="0" borderId="1" xfId="0" applyFont="1" applyBorder="1" applyAlignment="1">
      <alignment horizontal="left" vertical="center" wrapText="1"/>
    </xf>
    <xf numFmtId="165" fontId="2" fillId="6" borderId="1" xfId="0" applyNumberFormat="1" applyFont="1" applyFill="1" applyBorder="1"/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165" fontId="2" fillId="6" borderId="1" xfId="1" applyNumberFormat="1" applyFont="1" applyFill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165" fontId="8" fillId="0" borderId="1" xfId="0" applyNumberFormat="1" applyFont="1" applyBorder="1"/>
    <xf numFmtId="166" fontId="2" fillId="6" borderId="1" xfId="1" applyNumberFormat="1" applyFont="1" applyFill="1" applyBorder="1" applyAlignment="1">
      <alignment vertical="center" wrapText="1"/>
    </xf>
    <xf numFmtId="167" fontId="8" fillId="0" borderId="1" xfId="0" applyNumberFormat="1" applyFont="1" applyBorder="1"/>
    <xf numFmtId="0" fontId="7" fillId="0" borderId="1" xfId="0" applyFont="1" applyBorder="1" applyAlignment="1">
      <alignment horizontal="left" wrapText="1"/>
    </xf>
    <xf numFmtId="165" fontId="3" fillId="0" borderId="1" xfId="1" applyNumberFormat="1" applyFont="1" applyFill="1" applyBorder="1" applyAlignment="1">
      <alignment vertical="center" wrapText="1"/>
    </xf>
    <xf numFmtId="0" fontId="12" fillId="0" borderId="1" xfId="0" applyFont="1" applyBorder="1" applyAlignment="1">
      <alignment horizontal="left" wrapText="1"/>
    </xf>
    <xf numFmtId="9" fontId="10" fillId="0" borderId="1" xfId="3" applyFont="1" applyFill="1" applyBorder="1"/>
    <xf numFmtId="165" fontId="2" fillId="0" borderId="1" xfId="1" applyNumberFormat="1" applyFont="1" applyFill="1" applyBorder="1" applyAlignment="1">
      <alignment horizontal="left" wrapText="1"/>
    </xf>
    <xf numFmtId="9" fontId="10" fillId="6" borderId="1" xfId="3" applyFont="1" applyFill="1" applyBorder="1"/>
    <xf numFmtId="168" fontId="10" fillId="6" borderId="1" xfId="1" applyNumberFormat="1" applyFont="1" applyFill="1" applyBorder="1"/>
    <xf numFmtId="0" fontId="22" fillId="9" borderId="1" xfId="0" applyFont="1" applyFill="1" applyBorder="1" applyAlignment="1">
      <alignment horizontal="left" wrapText="1"/>
    </xf>
    <xf numFmtId="9" fontId="7" fillId="9" borderId="1" xfId="3" applyFont="1" applyFill="1" applyBorder="1"/>
    <xf numFmtId="165" fontId="14" fillId="9" borderId="1" xfId="1" applyNumberFormat="1" applyFont="1" applyFill="1" applyBorder="1" applyAlignment="1">
      <alignment horizontal="left" wrapText="1"/>
    </xf>
    <xf numFmtId="0" fontId="1" fillId="0" borderId="1" xfId="0" applyFont="1" applyBorder="1" applyAlignment="1">
      <alignment wrapText="1"/>
    </xf>
    <xf numFmtId="165" fontId="1" fillId="0" borderId="1" xfId="1" applyNumberFormat="1" applyFont="1" applyBorder="1"/>
    <xf numFmtId="165" fontId="2" fillId="0" borderId="1" xfId="1" applyNumberFormat="1" applyFont="1" applyBorder="1" applyAlignment="1">
      <alignment vertical="center" wrapText="1"/>
    </xf>
    <xf numFmtId="0" fontId="14" fillId="10" borderId="1" xfId="0" applyFont="1" applyFill="1" applyBorder="1" applyAlignment="1">
      <alignment vertical="center" wrapText="1"/>
    </xf>
    <xf numFmtId="43" fontId="14" fillId="10" borderId="1" xfId="1" applyFont="1" applyFill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165" fontId="14" fillId="0" borderId="1" xfId="0" applyNumberFormat="1" applyFont="1" applyBorder="1" applyAlignment="1">
      <alignment vertical="center" wrapText="1"/>
    </xf>
    <xf numFmtId="165" fontId="23" fillId="0" borderId="1" xfId="1" applyNumberFormat="1" applyFont="1" applyBorder="1" applyAlignment="1">
      <alignment horizontal="right" wrapText="1"/>
    </xf>
    <xf numFmtId="165" fontId="3" fillId="10" borderId="1" xfId="0" applyNumberFormat="1" applyFont="1" applyFill="1" applyBorder="1"/>
    <xf numFmtId="0" fontId="14" fillId="8" borderId="1" xfId="0" applyFont="1" applyFill="1" applyBorder="1" applyAlignment="1">
      <alignment vertical="center" wrapText="1"/>
    </xf>
    <xf numFmtId="166" fontId="14" fillId="8" borderId="1" xfId="0" applyNumberFormat="1" applyFont="1" applyFill="1" applyBorder="1" applyAlignment="1">
      <alignment vertical="center" wrapText="1"/>
    </xf>
    <xf numFmtId="0" fontId="20" fillId="4" borderId="1" xfId="0" applyFont="1" applyFill="1" applyBorder="1"/>
    <xf numFmtId="0" fontId="8" fillId="4" borderId="1" xfId="0" applyFont="1" applyFill="1" applyBorder="1"/>
    <xf numFmtId="43" fontId="20" fillId="4" borderId="1" xfId="1" applyFont="1" applyFill="1" applyBorder="1"/>
    <xf numFmtId="165" fontId="2" fillId="0" borderId="1" xfId="1" applyNumberFormat="1" applyFont="1" applyFill="1" applyBorder="1"/>
    <xf numFmtId="165" fontId="1" fillId="6" borderId="1" xfId="1" applyNumberFormat="1" applyFont="1" applyFill="1" applyBorder="1"/>
    <xf numFmtId="165" fontId="10" fillId="0" borderId="1" xfId="1" applyNumberFormat="1" applyFont="1" applyFill="1" applyBorder="1" applyAlignment="1">
      <alignment vertical="center" wrapText="1"/>
    </xf>
    <xf numFmtId="0" fontId="1" fillId="6" borderId="1" xfId="0" applyFont="1" applyFill="1" applyBorder="1"/>
    <xf numFmtId="165" fontId="3" fillId="0" borderId="1" xfId="1" applyNumberFormat="1" applyFont="1" applyFill="1" applyBorder="1"/>
    <xf numFmtId="0" fontId="13" fillId="0" borderId="1" xfId="0" applyFont="1" applyBorder="1"/>
    <xf numFmtId="165" fontId="8" fillId="0" borderId="1" xfId="3" applyNumberFormat="1" applyFont="1" applyFill="1" applyBorder="1"/>
    <xf numFmtId="165" fontId="14" fillId="0" borderId="1" xfId="1" applyNumberFormat="1" applyFont="1" applyFill="1" applyBorder="1"/>
    <xf numFmtId="165" fontId="14" fillId="6" borderId="1" xfId="1" applyNumberFormat="1" applyFont="1" applyFill="1" applyBorder="1" applyAlignment="1">
      <alignment vertical="center" wrapText="1"/>
    </xf>
    <xf numFmtId="165" fontId="14" fillId="0" borderId="1" xfId="1" applyNumberFormat="1" applyFont="1" applyFill="1" applyBorder="1" applyAlignment="1">
      <alignment vertical="center" wrapText="1"/>
    </xf>
    <xf numFmtId="165" fontId="15" fillId="5" borderId="1" xfId="1" applyNumberFormat="1" applyFont="1" applyFill="1" applyBorder="1"/>
    <xf numFmtId="0" fontId="5" fillId="6" borderId="1" xfId="0" applyFont="1" applyFill="1" applyBorder="1"/>
    <xf numFmtId="165" fontId="4" fillId="5" borderId="1" xfId="1" applyNumberFormat="1" applyFont="1" applyFill="1" applyBorder="1"/>
    <xf numFmtId="165" fontId="5" fillId="0" borderId="1" xfId="0" applyNumberFormat="1" applyFont="1" applyBorder="1"/>
    <xf numFmtId="9" fontId="4" fillId="5" borderId="1" xfId="3" applyFont="1" applyFill="1" applyBorder="1"/>
    <xf numFmtId="0" fontId="5" fillId="0" borderId="1" xfId="0" applyFont="1" applyBorder="1"/>
    <xf numFmtId="43" fontId="4" fillId="5" borderId="1" xfId="1" applyFont="1" applyFill="1" applyBorder="1"/>
    <xf numFmtId="43" fontId="5" fillId="0" borderId="1" xfId="0" applyNumberFormat="1" applyFont="1" applyBorder="1"/>
    <xf numFmtId="168" fontId="5" fillId="0" borderId="1" xfId="0" applyNumberFormat="1" applyFont="1" applyBorder="1"/>
    <xf numFmtId="0" fontId="12" fillId="4" borderId="1" xfId="0" applyFont="1" applyFill="1" applyBorder="1" applyAlignment="1">
      <alignment horizontal="left" wrapText="1"/>
    </xf>
    <xf numFmtId="165" fontId="1" fillId="0" borderId="1" xfId="0" applyNumberFormat="1" applyFont="1" applyBorder="1"/>
    <xf numFmtId="165" fontId="4" fillId="0" borderId="1" xfId="1" applyNumberFormat="1" applyFont="1" applyBorder="1"/>
    <xf numFmtId="0" fontId="10" fillId="0" borderId="1" xfId="0" applyFont="1" applyBorder="1" applyAlignment="1">
      <alignment horizontal="left" wrapText="1"/>
    </xf>
    <xf numFmtId="165" fontId="8" fillId="0" borderId="1" xfId="1" applyNumberFormat="1" applyFont="1" applyFill="1" applyBorder="1" applyAlignment="1">
      <alignment horizontal="center" vertical="center" wrapText="1"/>
    </xf>
    <xf numFmtId="165" fontId="11" fillId="0" borderId="1" xfId="1" applyNumberFormat="1" applyFont="1" applyFill="1" applyBorder="1" applyAlignment="1">
      <alignment horizontal="left" vertical="center"/>
    </xf>
    <xf numFmtId="0" fontId="3" fillId="10" borderId="5" xfId="0" applyFont="1" applyFill="1" applyBorder="1"/>
    <xf numFmtId="165" fontId="7" fillId="10" borderId="5" xfId="0" applyNumberFormat="1" applyFont="1" applyFill="1" applyBorder="1"/>
    <xf numFmtId="0" fontId="3" fillId="0" borderId="0" xfId="0" applyFont="1" applyBorder="1"/>
    <xf numFmtId="0" fontId="1" fillId="0" borderId="0" xfId="0" applyFont="1" applyBorder="1"/>
    <xf numFmtId="0" fontId="7" fillId="0" borderId="0" xfId="0" applyFont="1" applyBorder="1"/>
  </cellXfs>
  <cellStyles count="4">
    <cellStyle name="Comma" xfId="1" builtinId="3"/>
    <cellStyle name="Euro" xfId="2" xr:uid="{00000000-0005-0000-0000-000005000000}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Drop" dropLines="11" dropStyle="combo" dx="26" fmlaLink="$G$4" fmlaRange="$I$3:$I$13" noThreeD="1" sel="7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3</xdr:row>
          <xdr:rowOff>9525</xdr:rowOff>
        </xdr:from>
        <xdr:to>
          <xdr:col>3</xdr:col>
          <xdr:colOff>0</xdr:colOff>
          <xdr:row>3</xdr:row>
          <xdr:rowOff>200025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83"/>
  <sheetViews>
    <sheetView tabSelected="1" workbookViewId="0">
      <selection activeCell="F72" sqref="F72"/>
    </sheetView>
  </sheetViews>
  <sheetFormatPr defaultColWidth="8.7109375" defaultRowHeight="15"/>
  <cols>
    <col min="1" max="1" width="5.5703125" style="3" customWidth="1"/>
    <col min="2" max="2" width="57.28515625" style="1" customWidth="1"/>
    <col min="3" max="3" width="25.5703125" style="1" customWidth="1"/>
    <col min="4" max="4" width="15.28515625" style="1" customWidth="1"/>
    <col min="5" max="5" width="15.140625" style="1" customWidth="1"/>
    <col min="6" max="6" width="12.85546875" style="4" bestFit="1" customWidth="1"/>
    <col min="7" max="7" width="25.85546875" style="5" bestFit="1" customWidth="1"/>
    <col min="8" max="8" width="4.7109375" style="1" bestFit="1" customWidth="1"/>
    <col min="9" max="9" width="18.42578125" style="6" bestFit="1" customWidth="1"/>
    <col min="10" max="10" width="18.5703125" style="1" bestFit="1" customWidth="1"/>
    <col min="11" max="11" width="17.28515625" style="1" customWidth="1"/>
    <col min="12" max="16384" width="8.7109375" style="1"/>
  </cols>
  <sheetData>
    <row r="1" spans="1:10" ht="20.25">
      <c r="A1" s="7"/>
      <c r="B1" s="69" t="s">
        <v>93</v>
      </c>
      <c r="C1" s="69"/>
      <c r="D1" s="8"/>
      <c r="E1" s="8"/>
      <c r="F1" s="8"/>
      <c r="G1" s="10"/>
      <c r="I1" s="9"/>
    </row>
    <row r="2" spans="1:10">
      <c r="B2" s="11"/>
      <c r="C2" s="11"/>
      <c r="D2" s="12"/>
      <c r="H2" s="13" t="s">
        <v>0</v>
      </c>
      <c r="I2" s="63" t="s">
        <v>1</v>
      </c>
      <c r="J2" s="58" t="s">
        <v>2</v>
      </c>
    </row>
    <row r="3" spans="1:10" ht="15" customHeight="1">
      <c r="B3" s="11"/>
      <c r="C3" s="68" t="s">
        <v>25</v>
      </c>
      <c r="D3" s="68"/>
      <c r="E3" s="68"/>
      <c r="G3" s="14"/>
      <c r="H3" s="13">
        <v>1</v>
      </c>
      <c r="I3" s="64" t="s">
        <v>3</v>
      </c>
      <c r="J3" s="67">
        <v>400000</v>
      </c>
    </row>
    <row r="4" spans="1:10" ht="22.5" customHeight="1">
      <c r="B4" s="128" t="s">
        <v>26</v>
      </c>
      <c r="C4" s="129"/>
      <c r="D4" s="13"/>
      <c r="E4" s="130" t="s">
        <v>87</v>
      </c>
      <c r="F4" s="127" t="s">
        <v>86</v>
      </c>
      <c r="G4" s="4">
        <v>7</v>
      </c>
      <c r="H4" s="13">
        <v>2</v>
      </c>
      <c r="I4" s="64" t="s">
        <v>4</v>
      </c>
      <c r="J4" s="67">
        <v>400000</v>
      </c>
    </row>
    <row r="5" spans="1:10">
      <c r="B5" s="125" t="s">
        <v>27</v>
      </c>
      <c r="C5" s="106">
        <f>D5/E5/F5</f>
        <v>62500</v>
      </c>
      <c r="D5" s="83">
        <f>VLOOKUP($G$4,$H$3:$J$13,3,FALSE)</f>
        <v>3000000</v>
      </c>
      <c r="E5" s="126">
        <v>4</v>
      </c>
      <c r="F5" s="127">
        <v>12</v>
      </c>
      <c r="H5" s="13">
        <v>3</v>
      </c>
      <c r="I5" s="64" t="s">
        <v>5</v>
      </c>
      <c r="J5" s="67">
        <v>600000</v>
      </c>
    </row>
    <row r="6" spans="1:10">
      <c r="B6" s="11"/>
      <c r="C6" s="11"/>
      <c r="D6" s="12"/>
      <c r="H6" s="13">
        <v>4</v>
      </c>
      <c r="I6" s="64" t="s">
        <v>6</v>
      </c>
      <c r="J6" s="67">
        <v>1200000</v>
      </c>
    </row>
    <row r="7" spans="1:10">
      <c r="A7" s="3">
        <v>1.1000000000000001</v>
      </c>
      <c r="B7" s="16" t="s">
        <v>28</v>
      </c>
      <c r="C7" s="17" t="s">
        <v>29</v>
      </c>
      <c r="D7" s="18" t="s">
        <v>30</v>
      </c>
      <c r="E7" s="19" t="s">
        <v>31</v>
      </c>
      <c r="F7" s="116" t="s">
        <v>7</v>
      </c>
      <c r="G7" s="117" t="s">
        <v>85</v>
      </c>
      <c r="H7" s="13">
        <v>5</v>
      </c>
      <c r="I7" s="64" t="s">
        <v>8</v>
      </c>
      <c r="J7" s="67">
        <v>1200000</v>
      </c>
    </row>
    <row r="8" spans="1:10">
      <c r="B8" s="13" t="s">
        <v>32</v>
      </c>
      <c r="C8" s="106">
        <f>$C$5/F8</f>
        <v>113.63636363636364</v>
      </c>
      <c r="D8" s="77">
        <v>3</v>
      </c>
      <c r="E8" s="79">
        <f t="shared" ref="E8:E12" si="0">D8*C8</f>
        <v>340.90909090909093</v>
      </c>
      <c r="F8" s="118">
        <v>550</v>
      </c>
      <c r="G8" s="119" t="s">
        <v>79</v>
      </c>
      <c r="H8" s="13">
        <v>6</v>
      </c>
      <c r="I8" s="64" t="s">
        <v>9</v>
      </c>
      <c r="J8" s="67">
        <v>2000000</v>
      </c>
    </row>
    <row r="9" spans="1:10">
      <c r="B9" s="13" t="s">
        <v>33</v>
      </c>
      <c r="C9" s="106">
        <f>$C$5/F9</f>
        <v>113.63636363636364</v>
      </c>
      <c r="D9" s="77">
        <v>3</v>
      </c>
      <c r="E9" s="79">
        <f t="shared" si="0"/>
        <v>340.90909090909093</v>
      </c>
      <c r="F9" s="118">
        <f t="shared" ref="F9:F12" si="1">F8</f>
        <v>550</v>
      </c>
      <c r="G9" s="119" t="s">
        <v>80</v>
      </c>
      <c r="H9" s="13">
        <v>7</v>
      </c>
      <c r="I9" s="65" t="s">
        <v>10</v>
      </c>
      <c r="J9" s="67">
        <v>3000000</v>
      </c>
    </row>
    <row r="10" spans="1:10">
      <c r="B10" s="13" t="s">
        <v>99</v>
      </c>
      <c r="C10" s="106">
        <f>$C$5/F10</f>
        <v>113.63636363636364</v>
      </c>
      <c r="D10" s="77">
        <v>4</v>
      </c>
      <c r="E10" s="79">
        <f t="shared" si="0"/>
        <v>454.54545454545456</v>
      </c>
      <c r="F10" s="118">
        <f t="shared" si="1"/>
        <v>550</v>
      </c>
      <c r="G10" s="119" t="s">
        <v>81</v>
      </c>
      <c r="H10" s="13">
        <v>8</v>
      </c>
      <c r="I10" s="65" t="s">
        <v>12</v>
      </c>
      <c r="J10" s="67">
        <v>5000000</v>
      </c>
    </row>
    <row r="11" spans="1:10">
      <c r="B11" s="13" t="s">
        <v>18</v>
      </c>
      <c r="C11" s="106">
        <f>$C$5/F11</f>
        <v>113.63636363636364</v>
      </c>
      <c r="D11" s="77">
        <v>7</v>
      </c>
      <c r="E11" s="79">
        <f t="shared" si="0"/>
        <v>795.4545454545455</v>
      </c>
      <c r="F11" s="118">
        <f t="shared" si="1"/>
        <v>550</v>
      </c>
      <c r="G11" s="119" t="s">
        <v>82</v>
      </c>
      <c r="H11" s="13">
        <v>9</v>
      </c>
      <c r="I11" s="65" t="s">
        <v>13</v>
      </c>
      <c r="J11" s="67">
        <v>9000000</v>
      </c>
    </row>
    <row r="12" spans="1:10">
      <c r="B12" s="13" t="s">
        <v>98</v>
      </c>
      <c r="C12" s="106">
        <f>$C$5/F12</f>
        <v>113.63636363636364</v>
      </c>
      <c r="D12" s="77">
        <v>2</v>
      </c>
      <c r="E12" s="79">
        <f t="shared" si="0"/>
        <v>227.27272727272728</v>
      </c>
      <c r="F12" s="118">
        <f t="shared" si="1"/>
        <v>550</v>
      </c>
      <c r="G12" s="119" t="s">
        <v>83</v>
      </c>
      <c r="H12" s="13">
        <v>10</v>
      </c>
      <c r="I12" s="65" t="s">
        <v>14</v>
      </c>
      <c r="J12" s="67">
        <v>9000000</v>
      </c>
    </row>
    <row r="13" spans="1:10">
      <c r="B13" s="51" t="s">
        <v>94</v>
      </c>
      <c r="C13" s="113"/>
      <c r="D13" s="114"/>
      <c r="E13" s="29">
        <f>SUM(E8:E12)</f>
        <v>2159.0909090909095</v>
      </c>
      <c r="F13" s="20"/>
      <c r="G13" s="22" t="s">
        <v>11</v>
      </c>
      <c r="H13" s="13">
        <v>11</v>
      </c>
      <c r="I13" s="66" t="s">
        <v>15</v>
      </c>
      <c r="J13" s="67">
        <v>28000000</v>
      </c>
    </row>
    <row r="14" spans="1:10">
      <c r="A14" s="1"/>
      <c r="B14" s="3"/>
      <c r="C14" s="23"/>
      <c r="D14" s="24"/>
      <c r="E14" s="25"/>
      <c r="F14" s="20"/>
      <c r="G14" s="21" t="s">
        <v>11</v>
      </c>
    </row>
    <row r="15" spans="1:10">
      <c r="A15" s="3">
        <v>1.2</v>
      </c>
      <c r="B15" s="26" t="s">
        <v>73</v>
      </c>
      <c r="C15" s="17" t="s">
        <v>101</v>
      </c>
      <c r="D15" s="18" t="s">
        <v>30</v>
      </c>
      <c r="E15" s="19" t="s">
        <v>31</v>
      </c>
      <c r="F15" s="20"/>
    </row>
    <row r="16" spans="1:10" s="2" customFormat="1">
      <c r="A16" s="23"/>
      <c r="B16" s="13" t="s">
        <v>95</v>
      </c>
      <c r="C16" s="27">
        <f>C5/F16</f>
        <v>3125</v>
      </c>
      <c r="D16" s="28">
        <f>10/1120</f>
        <v>8.9285714285714281E-3</v>
      </c>
      <c r="E16" s="29">
        <f>D16*C16</f>
        <v>27.901785714285712</v>
      </c>
      <c r="F16" s="118">
        <v>20</v>
      </c>
      <c r="G16" s="119" t="s">
        <v>16</v>
      </c>
      <c r="I16" s="59"/>
    </row>
    <row r="17" spans="1:9" ht="14.65" customHeight="1">
      <c r="A17" s="1"/>
      <c r="B17" s="23"/>
      <c r="C17" s="2"/>
      <c r="D17" s="2"/>
      <c r="E17" s="30"/>
      <c r="F17" s="20"/>
      <c r="H17" s="15"/>
    </row>
    <row r="18" spans="1:9">
      <c r="A18" s="3">
        <v>1.3</v>
      </c>
      <c r="B18" s="111" t="s">
        <v>17</v>
      </c>
      <c r="C18" s="17" t="s">
        <v>29</v>
      </c>
      <c r="D18" s="17" t="s">
        <v>30</v>
      </c>
      <c r="E18" s="19" t="s">
        <v>31</v>
      </c>
      <c r="F18" s="20"/>
    </row>
    <row r="19" spans="1:9" ht="14.65" customHeight="1">
      <c r="B19" s="73" t="s">
        <v>32</v>
      </c>
      <c r="C19" s="112">
        <f>$C$8*F19</f>
        <v>22.72727272727273</v>
      </c>
      <c r="D19" s="77">
        <v>1</v>
      </c>
      <c r="E19" s="79">
        <f t="shared" ref="E19:E21" si="2">D19*C19</f>
        <v>22.72727272727273</v>
      </c>
      <c r="F19" s="120">
        <v>0.2</v>
      </c>
      <c r="G19" s="121" t="s">
        <v>84</v>
      </c>
    </row>
    <row r="20" spans="1:9">
      <c r="B20" s="13" t="s">
        <v>18</v>
      </c>
      <c r="C20" s="112">
        <f>$C$8*F20</f>
        <v>22.72727272727273</v>
      </c>
      <c r="D20" s="77">
        <v>10</v>
      </c>
      <c r="E20" s="79">
        <f t="shared" si="2"/>
        <v>227.27272727272731</v>
      </c>
      <c r="F20" s="120">
        <f>F19</f>
        <v>0.2</v>
      </c>
      <c r="G20" s="121"/>
    </row>
    <row r="21" spans="1:9">
      <c r="B21" s="13" t="s">
        <v>99</v>
      </c>
      <c r="C21" s="112">
        <f>$C$8*F21</f>
        <v>22.72727272727273</v>
      </c>
      <c r="D21" s="109">
        <v>1</v>
      </c>
      <c r="E21" s="79">
        <f t="shared" si="2"/>
        <v>22.72727272727273</v>
      </c>
      <c r="F21" s="120">
        <f>F20</f>
        <v>0.2</v>
      </c>
      <c r="G21" s="121"/>
    </row>
    <row r="22" spans="1:9" ht="14.65" customHeight="1">
      <c r="B22" s="51" t="s">
        <v>19</v>
      </c>
      <c r="C22" s="51"/>
      <c r="D22" s="51"/>
      <c r="E22" s="29">
        <f>SUM(E19:E21)</f>
        <v>272.72727272727275</v>
      </c>
      <c r="F22" s="20"/>
      <c r="G22" s="34"/>
    </row>
    <row r="23" spans="1:9" ht="14.65" customHeight="1">
      <c r="C23" s="35"/>
      <c r="D23" s="36"/>
      <c r="E23" s="37"/>
      <c r="F23" s="20"/>
      <c r="G23" s="34" t="s">
        <v>11</v>
      </c>
    </row>
    <row r="24" spans="1:9">
      <c r="B24" s="38" t="s">
        <v>35</v>
      </c>
      <c r="C24" s="19"/>
      <c r="D24" s="39"/>
      <c r="E24" s="40">
        <f>E22+E16+E13</f>
        <v>2459.7199675324678</v>
      </c>
      <c r="F24" s="20"/>
    </row>
    <row r="25" spans="1:9" ht="14.25">
      <c r="A25" s="1"/>
      <c r="F25" s="20"/>
    </row>
    <row r="26" spans="1:9">
      <c r="A26" s="3">
        <v>1.4</v>
      </c>
      <c r="B26" s="31" t="s">
        <v>20</v>
      </c>
      <c r="C26" s="41" t="s">
        <v>96</v>
      </c>
      <c r="D26" s="32" t="s">
        <v>30</v>
      </c>
      <c r="E26" s="33" t="s">
        <v>31</v>
      </c>
      <c r="F26" s="20"/>
      <c r="H26" s="1" t="s">
        <v>11</v>
      </c>
    </row>
    <row r="27" spans="1:9">
      <c r="B27" s="73" t="s">
        <v>32</v>
      </c>
      <c r="C27" s="70">
        <f>C5/F27</f>
        <v>8.9285714285714288</v>
      </c>
      <c r="D27" s="107">
        <v>30</v>
      </c>
      <c r="E27" s="108">
        <f t="shared" ref="E27:E30" si="3">D27*C27</f>
        <v>267.85714285714289</v>
      </c>
      <c r="F27" s="118">
        <v>7000</v>
      </c>
      <c r="G27" s="121" t="s">
        <v>88</v>
      </c>
      <c r="H27" s="15"/>
    </row>
    <row r="28" spans="1:9" ht="14.65" customHeight="1">
      <c r="B28" s="13" t="s">
        <v>18</v>
      </c>
      <c r="C28" s="70">
        <f t="shared" ref="C28:C30" si="4">C27</f>
        <v>8.9285714285714288</v>
      </c>
      <c r="D28" s="109">
        <v>5</v>
      </c>
      <c r="E28" s="108">
        <f t="shared" si="3"/>
        <v>44.642857142857146</v>
      </c>
      <c r="F28" s="118">
        <f t="shared" ref="F28:F30" si="5">F27</f>
        <v>7000</v>
      </c>
      <c r="G28" s="119"/>
    </row>
    <row r="29" spans="1:9" ht="14.65" customHeight="1">
      <c r="B29" s="13" t="s">
        <v>34</v>
      </c>
      <c r="C29" s="70">
        <f t="shared" si="4"/>
        <v>8.9285714285714288</v>
      </c>
      <c r="D29" s="109">
        <v>20</v>
      </c>
      <c r="E29" s="108">
        <f t="shared" si="3"/>
        <v>178.57142857142858</v>
      </c>
      <c r="F29" s="118">
        <f t="shared" si="5"/>
        <v>7000</v>
      </c>
      <c r="G29" s="121"/>
    </row>
    <row r="30" spans="1:9" s="3" customFormat="1" ht="14.65" customHeight="1">
      <c r="B30" s="13" t="s">
        <v>36</v>
      </c>
      <c r="C30" s="70">
        <f t="shared" si="4"/>
        <v>8.9285714285714288</v>
      </c>
      <c r="D30" s="109">
        <v>1</v>
      </c>
      <c r="E30" s="108">
        <f t="shared" si="3"/>
        <v>8.9285714285714288</v>
      </c>
      <c r="F30" s="118">
        <f t="shared" si="5"/>
        <v>7000</v>
      </c>
      <c r="G30" s="63"/>
      <c r="I30" s="60"/>
    </row>
    <row r="31" spans="1:9" s="3" customFormat="1" ht="14.65" customHeight="1">
      <c r="B31" s="51" t="s">
        <v>21</v>
      </c>
      <c r="C31" s="17"/>
      <c r="D31" s="110"/>
      <c r="E31" s="40">
        <f>SUM(E27:E30)</f>
        <v>500.00000000000011</v>
      </c>
      <c r="F31" s="42"/>
      <c r="G31" s="22"/>
      <c r="I31" s="60"/>
    </row>
    <row r="32" spans="1:9">
      <c r="A32" s="1"/>
      <c r="B32" s="3"/>
      <c r="C32" s="23"/>
      <c r="D32" s="43"/>
      <c r="E32" s="25"/>
      <c r="F32" s="20"/>
    </row>
    <row r="33" spans="1:8">
      <c r="A33" s="3">
        <v>1.5</v>
      </c>
      <c r="B33" s="26" t="s">
        <v>78</v>
      </c>
      <c r="C33" s="17" t="s">
        <v>37</v>
      </c>
      <c r="D33" s="17" t="s">
        <v>30</v>
      </c>
      <c r="E33" s="19" t="s">
        <v>31</v>
      </c>
      <c r="F33" s="118" t="s">
        <v>22</v>
      </c>
      <c r="G33" s="121" t="s">
        <v>89</v>
      </c>
    </row>
    <row r="34" spans="1:8">
      <c r="B34" s="13" t="s">
        <v>38</v>
      </c>
      <c r="C34" s="106">
        <f>$C$5/F34/G34</f>
        <v>25</v>
      </c>
      <c r="D34" s="77">
        <v>6</v>
      </c>
      <c r="E34" s="79">
        <f t="shared" ref="E34:E38" si="6">D34*C34</f>
        <v>150</v>
      </c>
      <c r="F34" s="118">
        <v>500</v>
      </c>
      <c r="G34" s="119">
        <v>5</v>
      </c>
    </row>
    <row r="35" spans="1:8">
      <c r="B35" s="13" t="s">
        <v>39</v>
      </c>
      <c r="C35" s="106">
        <f>$C$5/F35/G35</f>
        <v>8.3333333333333321</v>
      </c>
      <c r="D35" s="77">
        <v>4</v>
      </c>
      <c r="E35" s="79">
        <f t="shared" si="6"/>
        <v>33.333333333333329</v>
      </c>
      <c r="F35" s="118">
        <v>1500</v>
      </c>
      <c r="G35" s="119">
        <f t="shared" ref="G35:G38" si="7">G34</f>
        <v>5</v>
      </c>
    </row>
    <row r="36" spans="1:8">
      <c r="B36" s="13" t="s">
        <v>40</v>
      </c>
      <c r="C36" s="106">
        <f>$C$5/F36/G36</f>
        <v>6.25</v>
      </c>
      <c r="D36" s="77">
        <v>4</v>
      </c>
      <c r="E36" s="79">
        <f t="shared" si="6"/>
        <v>25</v>
      </c>
      <c r="F36" s="118">
        <v>2000</v>
      </c>
      <c r="G36" s="119">
        <f t="shared" si="7"/>
        <v>5</v>
      </c>
    </row>
    <row r="37" spans="1:8">
      <c r="B37" s="13" t="s">
        <v>41</v>
      </c>
      <c r="C37" s="106">
        <f>$C$5/F37/G37</f>
        <v>6.25</v>
      </c>
      <c r="D37" s="77">
        <v>6</v>
      </c>
      <c r="E37" s="79">
        <f t="shared" si="6"/>
        <v>37.5</v>
      </c>
      <c r="F37" s="118">
        <v>2000</v>
      </c>
      <c r="G37" s="119">
        <f t="shared" si="7"/>
        <v>5</v>
      </c>
    </row>
    <row r="38" spans="1:8">
      <c r="B38" s="13" t="s">
        <v>42</v>
      </c>
      <c r="C38" s="106">
        <f>$C$5/F38/G38</f>
        <v>8.3333333333333321</v>
      </c>
      <c r="D38" s="77">
        <v>4</v>
      </c>
      <c r="E38" s="79">
        <f t="shared" si="6"/>
        <v>33.333333333333329</v>
      </c>
      <c r="F38" s="118">
        <v>1500</v>
      </c>
      <c r="G38" s="119">
        <f t="shared" si="7"/>
        <v>5</v>
      </c>
    </row>
    <row r="39" spans="1:8">
      <c r="B39" s="38" t="s">
        <v>77</v>
      </c>
      <c r="C39" s="39"/>
      <c r="D39" s="44"/>
      <c r="E39" s="45">
        <f>SUM(E34:E38)</f>
        <v>279.16666666666663</v>
      </c>
      <c r="F39" s="20"/>
      <c r="G39" s="34"/>
    </row>
    <row r="40" spans="1:8" ht="14.25">
      <c r="A40" s="1"/>
      <c r="B40" s="46"/>
      <c r="C40" s="47"/>
      <c r="D40" s="48"/>
      <c r="E40" s="49"/>
      <c r="F40" s="20"/>
    </row>
    <row r="41" spans="1:8">
      <c r="A41" s="3">
        <v>1.6</v>
      </c>
      <c r="B41" s="26" t="s">
        <v>43</v>
      </c>
      <c r="C41" s="17" t="s">
        <v>44</v>
      </c>
      <c r="D41" s="32" t="s">
        <v>30</v>
      </c>
      <c r="E41" s="33" t="s">
        <v>31</v>
      </c>
      <c r="F41" s="20"/>
    </row>
    <row r="42" spans="1:8">
      <c r="B42" s="13" t="s">
        <v>45</v>
      </c>
      <c r="C42" s="79">
        <f>C8/F42</f>
        <v>113.63636363636364</v>
      </c>
      <c r="D42" s="80">
        <v>0.3</v>
      </c>
      <c r="E42" s="79">
        <f t="shared" ref="E42:E46" si="8">D42*C42</f>
        <v>34.090909090909093</v>
      </c>
      <c r="F42" s="118">
        <v>1</v>
      </c>
      <c r="G42" s="121" t="s">
        <v>100</v>
      </c>
    </row>
    <row r="43" spans="1:8">
      <c r="B43" s="75" t="s">
        <v>102</v>
      </c>
      <c r="C43" s="81">
        <f>F43</f>
        <v>0.25</v>
      </c>
      <c r="D43" s="77">
        <v>10</v>
      </c>
      <c r="E43" s="79">
        <f t="shared" si="8"/>
        <v>2.5</v>
      </c>
      <c r="F43" s="120">
        <f>1/4</f>
        <v>0.25</v>
      </c>
      <c r="G43" s="121" t="s">
        <v>90</v>
      </c>
    </row>
    <row r="44" spans="1:8">
      <c r="B44" s="13" t="s">
        <v>97</v>
      </c>
      <c r="C44" s="81">
        <f>F44</f>
        <v>0.25</v>
      </c>
      <c r="D44" s="77">
        <v>10</v>
      </c>
      <c r="E44" s="79">
        <f t="shared" si="8"/>
        <v>2.5</v>
      </c>
      <c r="F44" s="120">
        <v>0.25</v>
      </c>
      <c r="G44" s="121" t="s">
        <v>90</v>
      </c>
    </row>
    <row r="45" spans="1:8">
      <c r="B45" s="13" t="s">
        <v>46</v>
      </c>
      <c r="C45" s="79">
        <f>C5*F45</f>
        <v>625</v>
      </c>
      <c r="D45" s="80">
        <v>0.1</v>
      </c>
      <c r="E45" s="79">
        <f t="shared" si="8"/>
        <v>62.5</v>
      </c>
      <c r="F45" s="122">
        <f>1/100</f>
        <v>0.01</v>
      </c>
      <c r="G45" s="121" t="s">
        <v>23</v>
      </c>
    </row>
    <row r="46" spans="1:8">
      <c r="B46" s="13" t="s">
        <v>47</v>
      </c>
      <c r="C46" s="79">
        <f>C45</f>
        <v>625</v>
      </c>
      <c r="D46" s="80">
        <v>0.1</v>
      </c>
      <c r="E46" s="79">
        <f t="shared" si="8"/>
        <v>62.5</v>
      </c>
      <c r="F46" s="122">
        <f>1/100</f>
        <v>0.01</v>
      </c>
      <c r="G46" s="121" t="s">
        <v>23</v>
      </c>
    </row>
    <row r="47" spans="1:8">
      <c r="B47" s="51" t="s">
        <v>48</v>
      </c>
      <c r="C47" s="50"/>
      <c r="D47" s="115"/>
      <c r="E47" s="52">
        <f>SUM(E42:E45)</f>
        <v>101.59090909090909</v>
      </c>
      <c r="F47" s="20"/>
    </row>
    <row r="48" spans="1:8">
      <c r="B48" s="51"/>
      <c r="C48" s="19"/>
      <c r="D48" s="50"/>
      <c r="E48" s="115"/>
      <c r="F48" s="20"/>
      <c r="H48" s="1" t="s">
        <v>11</v>
      </c>
    </row>
    <row r="49" spans="1:8">
      <c r="B49" s="51" t="s">
        <v>49</v>
      </c>
      <c r="C49" s="51"/>
      <c r="D49" s="51"/>
      <c r="E49" s="52">
        <f>E47+E39+E31+E24</f>
        <v>3340.4775432900437</v>
      </c>
      <c r="F49" s="20"/>
      <c r="G49" s="53"/>
    </row>
    <row r="50" spans="1:8">
      <c r="A50" s="1"/>
      <c r="B50" s="3"/>
      <c r="C50" s="3"/>
      <c r="D50" s="54"/>
      <c r="F50" s="20"/>
    </row>
    <row r="51" spans="1:8">
      <c r="A51" s="3">
        <v>2</v>
      </c>
      <c r="B51" s="26" t="s">
        <v>50</v>
      </c>
      <c r="C51" s="17" t="s">
        <v>74</v>
      </c>
      <c r="D51" s="17" t="s">
        <v>75</v>
      </c>
      <c r="E51" s="17" t="s">
        <v>76</v>
      </c>
      <c r="F51" s="20"/>
    </row>
    <row r="52" spans="1:8">
      <c r="B52" s="13" t="s">
        <v>51</v>
      </c>
      <c r="C52" s="70">
        <f>C5/F52</f>
        <v>12.5</v>
      </c>
      <c r="D52" s="71">
        <v>100</v>
      </c>
      <c r="E52" s="72">
        <f t="shared" ref="E52:E60" si="9">D52*C52</f>
        <v>1250</v>
      </c>
      <c r="F52" s="118">
        <v>5000</v>
      </c>
      <c r="G52" s="121" t="s">
        <v>91</v>
      </c>
      <c r="H52" s="15">
        <f>C46/C52</f>
        <v>50</v>
      </c>
    </row>
    <row r="53" spans="1:8">
      <c r="B53" s="73" t="s">
        <v>52</v>
      </c>
      <c r="C53" s="70">
        <f>C52</f>
        <v>12.5</v>
      </c>
      <c r="D53" s="74">
        <v>10</v>
      </c>
      <c r="E53" s="72">
        <f t="shared" si="9"/>
        <v>125</v>
      </c>
      <c r="F53" s="118">
        <v>5000</v>
      </c>
      <c r="G53" s="121" t="s">
        <v>91</v>
      </c>
    </row>
    <row r="54" spans="1:8">
      <c r="B54" s="75" t="s">
        <v>53</v>
      </c>
      <c r="C54" s="76">
        <f>F54</f>
        <v>0.25</v>
      </c>
      <c r="D54" s="77">
        <v>20</v>
      </c>
      <c r="E54" s="72">
        <f t="shared" si="9"/>
        <v>5</v>
      </c>
      <c r="F54" s="120">
        <f>1/4</f>
        <v>0.25</v>
      </c>
      <c r="G54" s="121" t="s">
        <v>90</v>
      </c>
    </row>
    <row r="55" spans="1:8">
      <c r="B55" s="75" t="s">
        <v>24</v>
      </c>
      <c r="C55" s="76">
        <f t="shared" ref="C55:C60" si="10">F55</f>
        <v>0.25</v>
      </c>
      <c r="D55" s="77">
        <v>30</v>
      </c>
      <c r="E55" s="72">
        <f t="shared" si="9"/>
        <v>7.5</v>
      </c>
      <c r="F55" s="120">
        <f t="shared" ref="F55:F60" si="11">F54</f>
        <v>0.25</v>
      </c>
      <c r="G55" s="121" t="s">
        <v>90</v>
      </c>
    </row>
    <row r="56" spans="1:8" ht="14.25">
      <c r="A56" s="1"/>
      <c r="B56" s="75" t="s">
        <v>18</v>
      </c>
      <c r="C56" s="76">
        <f t="shared" si="10"/>
        <v>0.25</v>
      </c>
      <c r="D56" s="77">
        <v>50</v>
      </c>
      <c r="E56" s="72">
        <f t="shared" si="9"/>
        <v>12.5</v>
      </c>
      <c r="F56" s="120">
        <f t="shared" si="11"/>
        <v>0.25</v>
      </c>
      <c r="G56" s="121" t="s">
        <v>90</v>
      </c>
    </row>
    <row r="57" spans="1:8" ht="14.25">
      <c r="A57" s="1"/>
      <c r="B57" s="75" t="s">
        <v>54</v>
      </c>
      <c r="C57" s="76">
        <f t="shared" si="10"/>
        <v>0.25</v>
      </c>
      <c r="D57" s="77">
        <v>20</v>
      </c>
      <c r="E57" s="72">
        <f t="shared" si="9"/>
        <v>5</v>
      </c>
      <c r="F57" s="120">
        <f t="shared" si="11"/>
        <v>0.25</v>
      </c>
      <c r="G57" s="121" t="s">
        <v>90</v>
      </c>
    </row>
    <row r="58" spans="1:8">
      <c r="B58" s="13" t="s">
        <v>55</v>
      </c>
      <c r="C58" s="76">
        <f t="shared" si="10"/>
        <v>0.25</v>
      </c>
      <c r="D58" s="77">
        <v>0</v>
      </c>
      <c r="E58" s="72">
        <f t="shared" si="9"/>
        <v>0</v>
      </c>
      <c r="F58" s="120">
        <f t="shared" si="11"/>
        <v>0.25</v>
      </c>
      <c r="G58" s="121" t="s">
        <v>90</v>
      </c>
    </row>
    <row r="59" spans="1:8">
      <c r="B59" s="76" t="s">
        <v>103</v>
      </c>
      <c r="C59" s="76">
        <f t="shared" si="10"/>
        <v>0.25</v>
      </c>
      <c r="D59" s="74">
        <v>10</v>
      </c>
      <c r="E59" s="72">
        <f t="shared" si="9"/>
        <v>2.5</v>
      </c>
      <c r="F59" s="120">
        <f t="shared" si="11"/>
        <v>0.25</v>
      </c>
      <c r="G59" s="121" t="s">
        <v>90</v>
      </c>
    </row>
    <row r="60" spans="1:8">
      <c r="B60" s="78" t="s">
        <v>92</v>
      </c>
      <c r="C60" s="76">
        <f t="shared" si="10"/>
        <v>0.25</v>
      </c>
      <c r="D60" s="77">
        <v>20</v>
      </c>
      <c r="E60" s="72">
        <f t="shared" si="9"/>
        <v>5</v>
      </c>
      <c r="F60" s="120">
        <f t="shared" si="11"/>
        <v>0.25</v>
      </c>
      <c r="G60" s="121" t="s">
        <v>90</v>
      </c>
    </row>
    <row r="61" spans="1:8">
      <c r="B61" s="55" t="s">
        <v>56</v>
      </c>
      <c r="C61" s="55"/>
      <c r="D61" s="55"/>
      <c r="E61" s="52">
        <f>SUM(E52:E60)</f>
        <v>1412.5</v>
      </c>
      <c r="F61" s="20"/>
    </row>
    <row r="62" spans="1:8">
      <c r="B62" s="56"/>
      <c r="C62" s="56"/>
      <c r="D62" s="56"/>
      <c r="E62" s="57"/>
      <c r="F62" s="20"/>
    </row>
    <row r="63" spans="1:8">
      <c r="B63" s="101" t="s">
        <v>57</v>
      </c>
      <c r="C63" s="101"/>
      <c r="D63" s="101"/>
      <c r="E63" s="102">
        <f>E61+E49</f>
        <v>4752.9775432900442</v>
      </c>
      <c r="F63" s="20"/>
    </row>
    <row r="64" spans="1:8">
      <c r="B64" s="103" t="s">
        <v>58</v>
      </c>
      <c r="C64" s="104"/>
      <c r="D64" s="104"/>
      <c r="E64" s="105">
        <f>E63/C5</f>
        <v>7.6047640692640708E-2</v>
      </c>
      <c r="F64" s="20"/>
      <c r="G64" s="123">
        <f>E64*1135</f>
        <v>86.3140721861472</v>
      </c>
    </row>
    <row r="65" spans="1:7">
      <c r="B65" s="56"/>
      <c r="C65" s="56"/>
      <c r="G65" s="124">
        <f>C70*1135</f>
        <v>136.19999999999999</v>
      </c>
    </row>
    <row r="66" spans="1:7" ht="20.25">
      <c r="A66" s="3">
        <v>3</v>
      </c>
      <c r="B66" s="61" t="s">
        <v>59</v>
      </c>
      <c r="D66" s="68"/>
      <c r="E66" s="68"/>
      <c r="F66" s="68"/>
      <c r="G66" s="124">
        <f>G65-G64</f>
        <v>49.885927813852788</v>
      </c>
    </row>
    <row r="67" spans="1:7">
      <c r="B67" s="82"/>
      <c r="C67" s="51" t="s">
        <v>60</v>
      </c>
      <c r="D67" s="83" t="s">
        <v>61</v>
      </c>
      <c r="F67" s="1"/>
    </row>
    <row r="68" spans="1:7">
      <c r="B68" s="84" t="s">
        <v>62</v>
      </c>
      <c r="C68" s="85">
        <v>1</v>
      </c>
      <c r="D68" s="86">
        <f>C5*C68</f>
        <v>62500</v>
      </c>
      <c r="F68" s="1"/>
    </row>
    <row r="69" spans="1:7">
      <c r="B69" s="84" t="s">
        <v>63</v>
      </c>
      <c r="C69" s="87">
        <v>0.8</v>
      </c>
      <c r="D69" s="86">
        <f>D68*C69</f>
        <v>50000</v>
      </c>
      <c r="F69" s="1"/>
    </row>
    <row r="70" spans="1:7">
      <c r="B70" s="84" t="s">
        <v>30</v>
      </c>
      <c r="C70" s="88">
        <v>0.12</v>
      </c>
      <c r="D70" s="13"/>
      <c r="F70" s="1"/>
    </row>
    <row r="71" spans="1:7">
      <c r="B71" s="89" t="s">
        <v>64</v>
      </c>
      <c r="C71" s="90"/>
      <c r="D71" s="91">
        <f>C70*D69</f>
        <v>6000</v>
      </c>
      <c r="F71" s="1"/>
    </row>
    <row r="72" spans="1:7">
      <c r="B72" s="92" t="s">
        <v>65</v>
      </c>
      <c r="C72" s="87">
        <v>0.01</v>
      </c>
      <c r="D72" s="72">
        <f>D71*C72</f>
        <v>60</v>
      </c>
      <c r="F72" s="1"/>
    </row>
    <row r="73" spans="1:7">
      <c r="B73" s="131" t="s">
        <v>66</v>
      </c>
      <c r="C73" s="131"/>
      <c r="D73" s="132">
        <f>D71-D72</f>
        <v>5940</v>
      </c>
      <c r="E73" s="37"/>
      <c r="F73" s="1"/>
    </row>
    <row r="74" spans="1:7">
      <c r="B74" s="133"/>
      <c r="C74" s="134"/>
      <c r="D74" s="135"/>
      <c r="E74" s="25"/>
      <c r="F74" s="1"/>
    </row>
    <row r="75" spans="1:7">
      <c r="B75" s="13" t="s">
        <v>67</v>
      </c>
      <c r="C75" s="13"/>
      <c r="D75" s="93">
        <f>E49</f>
        <v>3340.4775432900437</v>
      </c>
      <c r="E75" s="62"/>
      <c r="F75" s="1"/>
    </row>
    <row r="76" spans="1:7">
      <c r="B76" s="76" t="s">
        <v>68</v>
      </c>
      <c r="C76" s="13"/>
      <c r="D76" s="94">
        <f>E61</f>
        <v>1412.5</v>
      </c>
      <c r="E76" s="62"/>
      <c r="F76" s="1"/>
    </row>
    <row r="77" spans="1:7">
      <c r="B77" s="95" t="s">
        <v>69</v>
      </c>
      <c r="C77" s="95"/>
      <c r="D77" s="96">
        <f>D75+D76</f>
        <v>4752.9775432900442</v>
      </c>
      <c r="E77" s="57"/>
      <c r="F77" s="1"/>
    </row>
    <row r="78" spans="1:7">
      <c r="B78" s="56"/>
      <c r="C78" s="56"/>
      <c r="E78" s="57"/>
      <c r="F78" s="1"/>
    </row>
    <row r="79" spans="1:7">
      <c r="B79" s="97" t="s">
        <v>70</v>
      </c>
      <c r="C79" s="97"/>
      <c r="D79" s="98">
        <f>D73-D77</f>
        <v>1187.0224567099558</v>
      </c>
      <c r="E79" s="57"/>
      <c r="F79" s="1"/>
    </row>
    <row r="80" spans="1:7">
      <c r="B80" s="97"/>
      <c r="C80" s="97"/>
      <c r="D80" s="97"/>
      <c r="E80" s="57"/>
      <c r="F80" s="1"/>
    </row>
    <row r="81" spans="2:6">
      <c r="B81" s="97" t="s">
        <v>71</v>
      </c>
      <c r="C81" s="87">
        <v>0.18</v>
      </c>
      <c r="D81" s="99">
        <f>IF(D79&lt;0,0,IF(D79&gt;0,D79*C81))</f>
        <v>213.66404220779205</v>
      </c>
      <c r="F81" s="1"/>
    </row>
    <row r="82" spans="2:6">
      <c r="B82" s="97"/>
      <c r="C82" s="97"/>
      <c r="D82" s="13"/>
      <c r="F82" s="1"/>
    </row>
    <row r="83" spans="2:6">
      <c r="B83" s="95" t="s">
        <v>72</v>
      </c>
      <c r="C83" s="95"/>
      <c r="D83" s="100">
        <f>D79-D81</f>
        <v>973.35841450216378</v>
      </c>
      <c r="F83" s="1"/>
    </row>
  </sheetData>
  <mergeCells count="3">
    <mergeCell ref="C3:E3"/>
    <mergeCell ref="D66:F66"/>
    <mergeCell ref="B1:C1"/>
  </mergeCells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Drop Down 1">
              <controlPr defaultSize="0" autoPict="0">
                <anchor moveWithCells="1">
                  <from>
                    <xdr:col>2</xdr:col>
                    <xdr:colOff>38100</xdr:colOff>
                    <xdr:row>3</xdr:row>
                    <xdr:rowOff>9525</xdr:rowOff>
                  </from>
                  <to>
                    <xdr:col>3</xdr:col>
                    <xdr:colOff>0</xdr:colOff>
                    <xdr:row>3</xdr:row>
                    <xdr:rowOff>200025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English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EMU</dc:creator>
  <cp:lastModifiedBy>User</cp:lastModifiedBy>
  <dcterms:created xsi:type="dcterms:W3CDTF">2020-05-12T17:01:00Z</dcterms:created>
  <dcterms:modified xsi:type="dcterms:W3CDTF">2023-08-16T08:11:52Z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D2287FCC6E8748EF9FF61C9724912D63</vt:lpwstr>
  </property>
  <property fmtid="{D5CDD505-2E9C-101B-9397-08002B2CF9AE}" pid="3" name="KSOProductBuildVer">
    <vt:lpwstr>1033-11.2.0.11537</vt:lpwstr>
  </property>
</Properties>
</file>